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Tabb.12" sheetId="1" r:id="rId1"/>
  </sheets>
  <definedNames>
    <definedName name="_xlnm.Print_Area" localSheetId="0">'Tabb.12'!$A$1:$H$38</definedName>
  </definedNames>
  <calcPr fullCalcOnLoad="1"/>
</workbook>
</file>

<file path=xl/sharedStrings.xml><?xml version="1.0" encoding="utf-8"?>
<sst xmlns="http://schemas.openxmlformats.org/spreadsheetml/2006/main" count="53" uniqueCount="48">
  <si>
    <t>totale</t>
  </si>
  <si>
    <t>ingombranti</t>
  </si>
  <si>
    <t>€/a</t>
  </si>
  <si>
    <t>t/a</t>
  </si>
  <si>
    <t>cartone</t>
  </si>
  <si>
    <t>residuo indifferenziato</t>
  </si>
  <si>
    <t>MMl lavorazione</t>
  </si>
  <si>
    <t>sovvallo MML (20%)</t>
  </si>
  <si>
    <t>alluminio (1,5%)</t>
  </si>
  <si>
    <t>traccianti (5%)</t>
  </si>
  <si>
    <t>frazione umida</t>
  </si>
  <si>
    <t>costi</t>
  </si>
  <si>
    <t>ricavi CONAI</t>
  </si>
  <si>
    <t>RAEE</t>
  </si>
  <si>
    <t xml:space="preserve">altri rifiuti </t>
  </si>
  <si>
    <t>media</t>
  </si>
  <si>
    <t>componente</t>
  </si>
  <si>
    <t>TAB. 12   -    ANALISI ECONOMICA COSTI/RICAVI CONSEGUENTE ALL'ATTIVAZIONE DEL NUOVO SERVIZIO</t>
  </si>
  <si>
    <t>smaltimento indiff. Provinc.</t>
  </si>
  <si>
    <t xml:space="preserve">canone 2012 </t>
  </si>
  <si>
    <t>differenza</t>
  </si>
  <si>
    <t>C) Costi piattaforme racc. diff.</t>
  </si>
  <si>
    <t xml:space="preserve">canone annuo  appalto sessennale </t>
  </si>
  <si>
    <t>E) Ricavi vendite MPS</t>
  </si>
  <si>
    <t>F.1. gestione servizi comunali (spazz- e CCR)</t>
  </si>
  <si>
    <t>F.1. 1. personale</t>
  </si>
  <si>
    <t>F.1.2. personale LSU</t>
  </si>
  <si>
    <t>F.1.3. esercizio</t>
  </si>
  <si>
    <t>F.1.4. consumo materiali</t>
  </si>
  <si>
    <t>D) fornitura materiali di consumo racc.diff.</t>
  </si>
  <si>
    <t>sfalci e potature</t>
  </si>
  <si>
    <t>ingombranti ed altri rifiuti</t>
  </si>
  <si>
    <t>lavorazione MML e vetro+smaltim.sovvallo</t>
  </si>
  <si>
    <t>suddivisione importi B) e C)</t>
  </si>
  <si>
    <t>frazioni biodegradabili</t>
  </si>
  <si>
    <t>Costi piattaforme:</t>
  </si>
  <si>
    <t>Centri di costo (comprensivi di IVA)</t>
  </si>
  <si>
    <t>B) Smaltimento Provincia fraz.indifferenziata</t>
  </si>
  <si>
    <t>QUADRO ESPLICATIVO COSTI/RICAVI CONNESSI ALLA ESECUZIONE DEI SERVIZI</t>
  </si>
  <si>
    <t>F) Altri  costi x servizi gestini dal Comune</t>
  </si>
  <si>
    <t>totali</t>
  </si>
  <si>
    <t>vetro conferito</t>
  </si>
  <si>
    <t>vetro ceduto (scarto = 3.249,9 x 0,1 )</t>
  </si>
  <si>
    <t>acciaio (8,5%) II° fascia</t>
  </si>
  <si>
    <t>€/t (con IVA 10%)</t>
  </si>
  <si>
    <t>A) Costo di appalto del servizio di racc.-trasp.rifiuti</t>
  </si>
  <si>
    <t>plastica (65%) II° fascia</t>
  </si>
  <si>
    <t xml:space="preserve">carta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</si>
</sst>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h:mm:ss;@"/>
    <numFmt numFmtId="166" formatCode="00000"/>
    <numFmt numFmtId="167" formatCode="_-* #,##0.0_-;\-* #,##0.0_-;_-* &quot;-&quot;??_-;_-@_-"/>
    <numFmt numFmtId="168" formatCode="_-* #,##0.000_-;\-* #,##0.000_-;_-* &quot;-&quot;??_-;_-@_-"/>
    <numFmt numFmtId="169" formatCode="_-* #,##0.00_-;\-* #,##0.00_-;_-* &quot;-&quot;_-;_-@_-"/>
    <numFmt numFmtId="170" formatCode="_-* #,##0.0_-;\-* #,##0.0_-;_-* &quot;-&quot;_-;_-@_-"/>
    <numFmt numFmtId="171" formatCode="_-* #,##0.00000000_-;\-* #,##0.00000000_-;_-* &quot;-&quot;??_-;_-@_-"/>
    <numFmt numFmtId="172" formatCode="0.000"/>
    <numFmt numFmtId="173" formatCode="_-* #,##0.0000_-;\-* #,##0.0000_-;_-* &quot;-&quot;??_-;_-@_-"/>
    <numFmt numFmtId="174" formatCode="0.0"/>
    <numFmt numFmtId="175" formatCode="0.0%"/>
    <numFmt numFmtId="176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 Black"/>
      <family val="2"/>
    </font>
    <font>
      <b/>
      <sz val="10"/>
      <color indexed="10"/>
      <name val="Arial Black"/>
      <family val="2"/>
    </font>
    <font>
      <b/>
      <sz val="12"/>
      <name val="Arial Black"/>
      <family val="2"/>
    </font>
    <font>
      <b/>
      <sz val="10"/>
      <color indexed="9"/>
      <name val="Arial Black"/>
      <family val="2"/>
    </font>
    <font>
      <b/>
      <sz val="10"/>
      <color indexed="12"/>
      <name val="Arial Black"/>
      <family val="2"/>
    </font>
    <font>
      <b/>
      <sz val="8"/>
      <name val="Arial Black"/>
      <family val="2"/>
    </font>
    <font>
      <b/>
      <sz val="9"/>
      <name val="Arial Black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3" fillId="0" borderId="10" xfId="43" applyNumberFormat="1" applyFont="1" applyBorder="1" applyAlignment="1">
      <alignment vertical="center" wrapText="1"/>
    </xf>
    <xf numFmtId="164" fontId="3" fillId="0" borderId="11" xfId="43" applyNumberFormat="1" applyFont="1" applyBorder="1" applyAlignment="1">
      <alignment vertical="center" wrapText="1"/>
    </xf>
    <xf numFmtId="164" fontId="3" fillId="0" borderId="0" xfId="43" applyNumberFormat="1" applyFont="1" applyBorder="1" applyAlignment="1">
      <alignment vertical="center" wrapText="1"/>
    </xf>
    <xf numFmtId="43" fontId="3" fillId="0" borderId="11" xfId="43" applyNumberFormat="1" applyFont="1" applyBorder="1" applyAlignment="1">
      <alignment vertical="center" wrapText="1"/>
    </xf>
    <xf numFmtId="43" fontId="3" fillId="0" borderId="0" xfId="43" applyNumberFormat="1" applyFont="1" applyBorder="1" applyAlignment="1">
      <alignment vertical="center" wrapText="1"/>
    </xf>
    <xf numFmtId="43" fontId="3" fillId="32" borderId="10" xfId="43" applyNumberFormat="1" applyFont="1" applyFill="1" applyBorder="1" applyAlignment="1">
      <alignment vertical="center" wrapText="1"/>
    </xf>
    <xf numFmtId="43" fontId="3" fillId="10" borderId="10" xfId="43" applyNumberFormat="1" applyFont="1" applyFill="1" applyBorder="1" applyAlignment="1">
      <alignment vertical="center" wrapText="1"/>
    </xf>
    <xf numFmtId="43" fontId="3" fillId="33" borderId="12" xfId="43" applyNumberFormat="1" applyFont="1" applyFill="1" applyBorder="1" applyAlignment="1">
      <alignment vertical="center" wrapText="1"/>
    </xf>
    <xf numFmtId="43" fontId="3" fillId="33" borderId="13" xfId="43" applyNumberFormat="1" applyFont="1" applyFill="1" applyBorder="1" applyAlignment="1">
      <alignment vertical="center" wrapText="1"/>
    </xf>
    <xf numFmtId="43" fontId="6" fillId="34" borderId="10" xfId="43" applyNumberFormat="1" applyFont="1" applyFill="1" applyBorder="1" applyAlignment="1">
      <alignment vertical="center" wrapText="1"/>
    </xf>
    <xf numFmtId="43" fontId="6" fillId="34" borderId="14" xfId="43" applyNumberFormat="1" applyFont="1" applyFill="1" applyBorder="1" applyAlignment="1">
      <alignment vertical="center" wrapText="1"/>
    </xf>
    <xf numFmtId="43" fontId="3" fillId="18" borderId="10" xfId="43" applyNumberFormat="1" applyFont="1" applyFill="1" applyBorder="1" applyAlignment="1">
      <alignment vertical="center" wrapText="1"/>
    </xf>
    <xf numFmtId="43" fontId="3" fillId="0" borderId="10" xfId="43" applyNumberFormat="1" applyFont="1" applyFill="1" applyBorder="1" applyAlignment="1">
      <alignment vertical="center" wrapText="1"/>
    </xf>
    <xf numFmtId="43" fontId="3" fillId="32" borderId="15" xfId="43" applyNumberFormat="1" applyFont="1" applyFill="1" applyBorder="1" applyAlignment="1">
      <alignment vertical="center" wrapText="1"/>
    </xf>
    <xf numFmtId="43" fontId="3" fillId="32" borderId="16" xfId="43" applyNumberFormat="1" applyFont="1" applyFill="1" applyBorder="1" applyAlignment="1">
      <alignment vertical="center" wrapText="1"/>
    </xf>
    <xf numFmtId="43" fontId="3" fillId="10" borderId="15" xfId="43" applyNumberFormat="1" applyFont="1" applyFill="1" applyBorder="1" applyAlignment="1">
      <alignment vertical="center" wrapText="1"/>
    </xf>
    <xf numFmtId="43" fontId="3" fillId="10" borderId="16" xfId="43" applyNumberFormat="1" applyFont="1" applyFill="1" applyBorder="1" applyAlignment="1">
      <alignment vertical="center" wrapText="1"/>
    </xf>
    <xf numFmtId="43" fontId="3" fillId="18" borderId="15" xfId="43" applyNumberFormat="1" applyFont="1" applyFill="1" applyBorder="1" applyAlignment="1">
      <alignment vertical="center" wrapText="1"/>
    </xf>
    <xf numFmtId="43" fontId="3" fillId="18" borderId="16" xfId="43" applyNumberFormat="1" applyFont="1" applyFill="1" applyBorder="1" applyAlignment="1">
      <alignment vertical="center" wrapText="1"/>
    </xf>
    <xf numFmtId="43" fontId="6" fillId="34" borderId="15" xfId="43" applyNumberFormat="1" applyFont="1" applyFill="1" applyBorder="1" applyAlignment="1">
      <alignment vertical="center" wrapText="1"/>
    </xf>
    <xf numFmtId="43" fontId="6" fillId="34" borderId="16" xfId="43" applyNumberFormat="1" applyFont="1" applyFill="1" applyBorder="1" applyAlignment="1">
      <alignment vertical="center" wrapText="1"/>
    </xf>
    <xf numFmtId="43" fontId="6" fillId="34" borderId="17" xfId="43" applyNumberFormat="1" applyFont="1" applyFill="1" applyBorder="1" applyAlignment="1">
      <alignment vertical="center" wrapText="1"/>
    </xf>
    <xf numFmtId="43" fontId="6" fillId="34" borderId="18" xfId="43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3" fontId="3" fillId="33" borderId="20" xfId="43" applyNumberFormat="1" applyFont="1" applyFill="1" applyBorder="1" applyAlignment="1">
      <alignment vertical="center" wrapText="1"/>
    </xf>
    <xf numFmtId="43" fontId="3" fillId="33" borderId="21" xfId="43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3" fontId="7" fillId="0" borderId="10" xfId="43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3" fontId="3" fillId="4" borderId="10" xfId="43" applyNumberFormat="1" applyFont="1" applyFill="1" applyBorder="1" applyAlignment="1">
      <alignment vertical="center" wrapText="1"/>
    </xf>
    <xf numFmtId="43" fontId="3" fillId="4" borderId="15" xfId="43" applyNumberFormat="1" applyFont="1" applyFill="1" applyBorder="1" applyAlignment="1">
      <alignment vertical="center" wrapText="1"/>
    </xf>
    <xf numFmtId="43" fontId="3" fillId="4" borderId="16" xfId="43" applyNumberFormat="1" applyFont="1" applyFill="1" applyBorder="1" applyAlignment="1">
      <alignment vertical="center" wrapText="1"/>
    </xf>
    <xf numFmtId="43" fontId="3" fillId="4" borderId="22" xfId="43" applyNumberFormat="1" applyFont="1" applyFill="1" applyBorder="1" applyAlignment="1">
      <alignment vertical="center" wrapText="1"/>
    </xf>
    <xf numFmtId="43" fontId="3" fillId="4" borderId="14" xfId="43" applyNumberFormat="1" applyFont="1" applyFill="1" applyBorder="1" applyAlignment="1">
      <alignment vertical="center" wrapText="1"/>
    </xf>
    <xf numFmtId="43" fontId="3" fillId="0" borderId="0" xfId="43" applyNumberFormat="1" applyFont="1" applyFill="1" applyBorder="1" applyAlignment="1">
      <alignment vertical="center" wrapText="1"/>
    </xf>
    <xf numFmtId="164" fontId="4" fillId="0" borderId="0" xfId="43" applyNumberFormat="1" applyFont="1" applyBorder="1" applyAlignment="1">
      <alignment vertical="center" wrapText="1"/>
    </xf>
    <xf numFmtId="43" fontId="4" fillId="0" borderId="0" xfId="43" applyNumberFormat="1" applyFont="1" applyFill="1" applyBorder="1" applyAlignment="1">
      <alignment vertical="center" wrapText="1"/>
    </xf>
    <xf numFmtId="43" fontId="7" fillId="0" borderId="0" xfId="43" applyNumberFormat="1" applyFont="1" applyFill="1" applyBorder="1" applyAlignment="1">
      <alignment vertical="center" wrapText="1"/>
    </xf>
    <xf numFmtId="43" fontId="3" fillId="0" borderId="0" xfId="43" applyNumberFormat="1" applyFont="1" applyFill="1" applyBorder="1" applyAlignment="1">
      <alignment horizontal="right" vertical="center" wrapText="1"/>
    </xf>
    <xf numFmtId="164" fontId="8" fillId="0" borderId="23" xfId="43" applyNumberFormat="1" applyFont="1" applyBorder="1" applyAlignment="1">
      <alignment horizontal="center" vertical="center" wrapText="1"/>
    </xf>
    <xf numFmtId="164" fontId="8" fillId="0" borderId="24" xfId="43" applyNumberFormat="1" applyFont="1" applyFill="1" applyBorder="1" applyAlignment="1">
      <alignment horizontal="center" vertical="center" wrapText="1"/>
    </xf>
    <xf numFmtId="43" fontId="3" fillId="0" borderId="11" xfId="43" applyNumberFormat="1" applyFont="1" applyBorder="1" applyAlignment="1">
      <alignment horizontal="right" vertical="center" wrapText="1"/>
    </xf>
    <xf numFmtId="43" fontId="7" fillId="0" borderId="13" xfId="43" applyNumberFormat="1" applyFont="1" applyFill="1" applyBorder="1" applyAlignment="1">
      <alignment vertical="center" wrapText="1"/>
    </xf>
    <xf numFmtId="43" fontId="7" fillId="0" borderId="14" xfId="43" applyNumberFormat="1" applyFont="1" applyFill="1" applyBorder="1" applyAlignment="1">
      <alignment vertical="center" wrapText="1"/>
    </xf>
    <xf numFmtId="43" fontId="3" fillId="0" borderId="25" xfId="43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43" applyNumberFormat="1" applyFont="1" applyBorder="1" applyAlignment="1">
      <alignment vertical="center" wrapText="1"/>
    </xf>
    <xf numFmtId="43" fontId="7" fillId="0" borderId="0" xfId="43" applyNumberFormat="1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164" fontId="3" fillId="0" borderId="23" xfId="43" applyNumberFormat="1" applyFont="1" applyBorder="1" applyAlignment="1">
      <alignment horizontal="center" vertical="center" wrapText="1"/>
    </xf>
    <xf numFmtId="43" fontId="3" fillId="0" borderId="26" xfId="43" applyNumberFormat="1" applyFont="1" applyBorder="1" applyAlignment="1">
      <alignment vertical="center" wrapText="1"/>
    </xf>
    <xf numFmtId="43" fontId="3" fillId="0" borderId="27" xfId="43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43" applyNumberFormat="1" applyFont="1" applyBorder="1" applyAlignment="1">
      <alignment horizontal="center" vertical="center" wrapText="1"/>
    </xf>
    <xf numFmtId="43" fontId="3" fillId="0" borderId="30" xfId="43" applyNumberFormat="1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164" fontId="3" fillId="0" borderId="24" xfId="43" applyNumberFormat="1" applyFont="1" applyBorder="1" applyAlignment="1">
      <alignment horizontal="center" vertical="center" wrapText="1"/>
    </xf>
    <xf numFmtId="43" fontId="7" fillId="0" borderId="12" xfId="43" applyNumberFormat="1" applyFont="1" applyBorder="1" applyAlignment="1">
      <alignment vertical="center" wrapText="1"/>
    </xf>
    <xf numFmtId="43" fontId="7" fillId="0" borderId="24" xfId="43" applyNumberFormat="1" applyFont="1" applyFill="1" applyBorder="1" applyAlignment="1">
      <alignment vertical="center" wrapText="1"/>
    </xf>
    <xf numFmtId="43" fontId="3" fillId="0" borderId="32" xfId="43" applyNumberFormat="1" applyFont="1" applyBorder="1" applyAlignment="1">
      <alignment vertical="center" wrapText="1"/>
    </xf>
    <xf numFmtId="43" fontId="7" fillId="0" borderId="24" xfId="43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8" fillId="0" borderId="0" xfId="4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43" applyNumberFormat="1" applyFont="1" applyFill="1" applyBorder="1" applyAlignment="1">
      <alignment horizontal="center" vertical="center" wrapText="1"/>
    </xf>
    <xf numFmtId="43" fontId="6" fillId="0" borderId="0" xfId="43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3" fillId="3" borderId="24" xfId="43" applyNumberFormat="1" applyFont="1" applyFill="1" applyBorder="1" applyAlignment="1">
      <alignment vertical="center" wrapText="1"/>
    </xf>
    <xf numFmtId="43" fontId="3" fillId="0" borderId="13" xfId="43" applyNumberFormat="1" applyFont="1" applyFill="1" applyBorder="1" applyAlignment="1">
      <alignment vertical="center" wrapText="1"/>
    </xf>
    <xf numFmtId="43" fontId="3" fillId="0" borderId="33" xfId="43" applyNumberFormat="1" applyFont="1" applyBorder="1" applyAlignment="1">
      <alignment vertical="center" wrapText="1"/>
    </xf>
    <xf numFmtId="43" fontId="5" fillId="0" borderId="23" xfId="43" applyNumberFormat="1" applyFont="1" applyBorder="1" applyAlignment="1">
      <alignment vertical="center" wrapText="1"/>
    </xf>
    <xf numFmtId="43" fontId="5" fillId="0" borderId="24" xfId="43" applyNumberFormat="1" applyFont="1" applyBorder="1" applyAlignment="1">
      <alignment vertical="center" wrapText="1"/>
    </xf>
    <xf numFmtId="43" fontId="5" fillId="32" borderId="24" xfId="43" applyNumberFormat="1" applyFont="1" applyFill="1" applyBorder="1" applyAlignment="1">
      <alignment vertical="center" wrapText="1"/>
    </xf>
    <xf numFmtId="43" fontId="5" fillId="0" borderId="24" xfId="43" applyNumberFormat="1" applyFont="1" applyBorder="1" applyAlignment="1">
      <alignment horizontal="right" vertical="center" wrapText="1"/>
    </xf>
    <xf numFmtId="43" fontId="3" fillId="3" borderId="14" xfId="43" applyNumberFormat="1" applyFont="1" applyFill="1" applyBorder="1" applyAlignment="1">
      <alignment vertical="center" wrapText="1"/>
    </xf>
    <xf numFmtId="0" fontId="5" fillId="32" borderId="24" xfId="0" applyFont="1" applyFill="1" applyBorder="1" applyAlignment="1">
      <alignment horizontal="left" vertical="center" wrapText="1"/>
    </xf>
    <xf numFmtId="43" fontId="3" fillId="32" borderId="14" xfId="43" applyNumberFormat="1" applyFont="1" applyFill="1" applyBorder="1" applyAlignment="1">
      <alignment vertical="center" wrapText="1"/>
    </xf>
    <xf numFmtId="43" fontId="3" fillId="35" borderId="14" xfId="43" applyNumberFormat="1" applyFont="1" applyFill="1" applyBorder="1" applyAlignment="1">
      <alignment vertical="center" wrapText="1"/>
    </xf>
    <xf numFmtId="43" fontId="3" fillId="35" borderId="15" xfId="43" applyNumberFormat="1" applyFont="1" applyFill="1" applyBorder="1" applyAlignment="1">
      <alignment vertical="center" wrapText="1"/>
    </xf>
    <xf numFmtId="43" fontId="3" fillId="35" borderId="16" xfId="43" applyNumberFormat="1" applyFont="1" applyFill="1" applyBorder="1" applyAlignment="1">
      <alignment vertical="center" wrapText="1"/>
    </xf>
    <xf numFmtId="43" fontId="3" fillId="35" borderId="10" xfId="43" applyNumberFormat="1" applyFont="1" applyFill="1" applyBorder="1" applyAlignment="1">
      <alignment vertical="center" wrapText="1"/>
    </xf>
    <xf numFmtId="43" fontId="3" fillId="10" borderId="13" xfId="43" applyNumberFormat="1" applyFont="1" applyFill="1" applyBorder="1" applyAlignment="1">
      <alignment vertical="center" wrapText="1"/>
    </xf>
    <xf numFmtId="43" fontId="3" fillId="4" borderId="34" xfId="43" applyNumberFormat="1" applyFont="1" applyFill="1" applyBorder="1" applyAlignment="1">
      <alignment horizontal="center" vertical="center" wrapText="1"/>
    </xf>
    <xf numFmtId="43" fontId="3" fillId="4" borderId="35" xfId="43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43" fontId="3" fillId="0" borderId="24" xfId="43" applyNumberFormat="1" applyFont="1" applyFill="1" applyBorder="1" applyAlignment="1">
      <alignment vertical="center" wrapText="1"/>
    </xf>
    <xf numFmtId="43" fontId="3" fillId="0" borderId="36" xfId="43" applyNumberFormat="1" applyFont="1" applyBorder="1" applyAlignment="1">
      <alignment vertical="center" wrapText="1"/>
    </xf>
    <xf numFmtId="43" fontId="3" fillId="0" borderId="37" xfId="43" applyNumberFormat="1" applyFont="1" applyFill="1" applyBorder="1" applyAlignment="1">
      <alignment vertical="center" wrapText="1"/>
    </xf>
    <xf numFmtId="43" fontId="3" fillId="0" borderId="38" xfId="43" applyNumberFormat="1" applyFont="1" applyFill="1" applyBorder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3" fontId="3" fillId="0" borderId="23" xfId="43" applyNumberFormat="1" applyFont="1" applyBorder="1" applyAlignment="1">
      <alignment horizontal="center" vertical="center" wrapText="1"/>
    </xf>
    <xf numFmtId="43" fontId="3" fillId="0" borderId="39" xfId="43" applyNumberFormat="1" applyFont="1" applyBorder="1" applyAlignment="1">
      <alignment horizontal="center" vertical="center" wrapText="1"/>
    </xf>
    <xf numFmtId="43" fontId="3" fillId="0" borderId="29" xfId="43" applyNumberFormat="1" applyFont="1" applyBorder="1" applyAlignment="1">
      <alignment horizontal="center" vertical="center" wrapText="1"/>
    </xf>
    <xf numFmtId="164" fontId="3" fillId="0" borderId="19" xfId="43" applyNumberFormat="1" applyFont="1" applyBorder="1" applyAlignment="1">
      <alignment horizontal="center" vertical="center" wrapText="1"/>
    </xf>
    <xf numFmtId="164" fontId="3" fillId="0" borderId="41" xfId="43" applyNumberFormat="1" applyFont="1" applyBorder="1" applyAlignment="1">
      <alignment horizontal="center" vertical="center" wrapText="1"/>
    </xf>
    <xf numFmtId="164" fontId="3" fillId="0" borderId="31" xfId="43" applyNumberFormat="1" applyFont="1" applyBorder="1" applyAlignment="1">
      <alignment horizontal="center" vertical="center" wrapText="1"/>
    </xf>
    <xf numFmtId="164" fontId="3" fillId="0" borderId="42" xfId="43" applyNumberFormat="1" applyFont="1" applyBorder="1" applyAlignment="1">
      <alignment horizontal="center" vertical="center" wrapText="1"/>
    </xf>
    <xf numFmtId="164" fontId="3" fillId="0" borderId="28" xfId="43" applyNumberFormat="1" applyFont="1" applyBorder="1" applyAlignment="1">
      <alignment horizontal="center" vertical="center" wrapText="1"/>
    </xf>
    <xf numFmtId="164" fontId="3" fillId="0" borderId="43" xfId="43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8.421875" style="1" customWidth="1"/>
    <col min="2" max="2" width="20.421875" style="35" customWidth="1"/>
    <col min="3" max="3" width="27.57421875" style="1" customWidth="1"/>
    <col min="4" max="4" width="25.00390625" style="1" customWidth="1"/>
    <col min="5" max="5" width="20.8515625" style="1" bestFit="1" customWidth="1"/>
    <col min="6" max="6" width="3.421875" style="73" customWidth="1"/>
    <col min="7" max="7" width="25.8515625" style="2" customWidth="1"/>
    <col min="8" max="8" width="22.140625" style="2" customWidth="1"/>
    <col min="9" max="9" width="22.140625" style="1" customWidth="1"/>
    <col min="10" max="16384" width="9.140625" style="1" customWidth="1"/>
  </cols>
  <sheetData>
    <row r="1" spans="1:8" ht="41.25" customHeight="1" thickBot="1">
      <c r="A1" s="97" t="s">
        <v>17</v>
      </c>
      <c r="B1" s="98"/>
      <c r="C1" s="98"/>
      <c r="D1" s="98"/>
      <c r="E1" s="98"/>
      <c r="F1" s="99"/>
      <c r="G1" s="98"/>
      <c r="H1" s="100"/>
    </row>
    <row r="2" spans="1:8" ht="26.25" customHeight="1" thickBot="1">
      <c r="A2" s="31"/>
      <c r="B2" s="33"/>
      <c r="C2" s="30"/>
      <c r="D2" s="30"/>
      <c r="E2" s="30"/>
      <c r="F2" s="70"/>
      <c r="G2" s="32"/>
      <c r="H2" s="32"/>
    </row>
    <row r="3" spans="1:8" s="3" customFormat="1" ht="35.25" customHeight="1" thickBot="1">
      <c r="A3" s="82" t="s">
        <v>36</v>
      </c>
      <c r="B3" s="52"/>
      <c r="C3" s="55" t="s">
        <v>19</v>
      </c>
      <c r="D3" s="62" t="s">
        <v>22</v>
      </c>
      <c r="E3" s="59" t="s">
        <v>20</v>
      </c>
      <c r="F3" s="68"/>
      <c r="G3" s="101" t="s">
        <v>33</v>
      </c>
      <c r="H3" s="102"/>
    </row>
    <row r="4" spans="1:8" ht="13.5" customHeight="1" thickBot="1">
      <c r="A4" s="5"/>
      <c r="B4" s="53"/>
      <c r="C4" s="56" t="s">
        <v>2</v>
      </c>
      <c r="D4" s="63" t="s">
        <v>2</v>
      </c>
      <c r="E4" s="60" t="s">
        <v>2</v>
      </c>
      <c r="F4" s="71"/>
      <c r="G4" s="42"/>
      <c r="H4" s="6"/>
    </row>
    <row r="5" spans="1:8" ht="30.75" thickBot="1">
      <c r="A5" s="7" t="s">
        <v>45</v>
      </c>
      <c r="B5" s="44"/>
      <c r="C5" s="57">
        <v>8014208.57</v>
      </c>
      <c r="D5" s="75">
        <v>8055923.87</v>
      </c>
      <c r="E5" s="61">
        <f>D5-C5</f>
        <v>41715.299999999814</v>
      </c>
      <c r="F5" s="41"/>
      <c r="G5" s="93" t="s">
        <v>18</v>
      </c>
      <c r="H5" s="92">
        <f>C22*B22</f>
        <v>2439285.45</v>
      </c>
    </row>
    <row r="6" spans="1:8" ht="15" customHeight="1">
      <c r="A6" s="7" t="s">
        <v>37</v>
      </c>
      <c r="B6" s="44"/>
      <c r="C6" s="58">
        <f>4161268.86</f>
        <v>4161268.86</v>
      </c>
      <c r="D6" s="16">
        <f>H5</f>
        <v>2439285.45</v>
      </c>
      <c r="E6" s="51">
        <f>D6-C6</f>
        <v>-1721983.4099999997</v>
      </c>
      <c r="F6" s="41"/>
      <c r="G6" s="41"/>
      <c r="H6" s="41"/>
    </row>
    <row r="7" spans="1:8" ht="15">
      <c r="A7" s="7" t="s">
        <v>21</v>
      </c>
      <c r="B7" s="44"/>
      <c r="C7" s="58">
        <v>2535535.03</v>
      </c>
      <c r="D7" s="16">
        <f>H13</f>
        <v>3722719.2376000006</v>
      </c>
      <c r="E7" s="4">
        <f>D7-C7</f>
        <v>1187184.2076000008</v>
      </c>
      <c r="F7" s="41"/>
      <c r="G7" s="45"/>
      <c r="H7" s="41"/>
    </row>
    <row r="8" spans="1:8" ht="15.75" customHeight="1">
      <c r="A8" s="7" t="s">
        <v>29</v>
      </c>
      <c r="B8" s="44"/>
      <c r="C8" s="58">
        <v>55000</v>
      </c>
      <c r="D8" s="4">
        <v>470000</v>
      </c>
      <c r="E8" s="61">
        <f>D8-C8</f>
        <v>415000</v>
      </c>
      <c r="F8" s="41"/>
      <c r="G8" s="8"/>
      <c r="H8" s="41"/>
    </row>
    <row r="9" spans="1:8" ht="15.75" customHeight="1" thickBot="1">
      <c r="A9" s="7" t="s">
        <v>23</v>
      </c>
      <c r="B9" s="44"/>
      <c r="C9" s="76">
        <f>-329505.78</f>
        <v>-329505.78</v>
      </c>
      <c r="D9" s="81">
        <f>-E38</f>
        <v>-1266136.4973675</v>
      </c>
      <c r="E9" s="66">
        <f>D9+C9</f>
        <v>-1595642.2773675001</v>
      </c>
      <c r="F9" s="41"/>
      <c r="G9" s="8" t="s">
        <v>35</v>
      </c>
      <c r="H9" s="41"/>
    </row>
    <row r="10" spans="1:8" ht="33.75" customHeight="1" thickBot="1">
      <c r="A10" s="48"/>
      <c r="B10" s="80" t="s">
        <v>40</v>
      </c>
      <c r="C10" s="77">
        <f>SUM(C5:C9)</f>
        <v>14436506.68</v>
      </c>
      <c r="D10" s="78">
        <f>SUM(D5:D9)</f>
        <v>13421792.060232501</v>
      </c>
      <c r="E10" s="79">
        <f>D10-C10</f>
        <v>-1014714.6197674982</v>
      </c>
      <c r="F10" s="41"/>
      <c r="G10" s="93" t="s">
        <v>32</v>
      </c>
      <c r="H10" s="94">
        <f>D23+D24+D31</f>
        <v>370441.50000000006</v>
      </c>
    </row>
    <row r="11" spans="1:8" ht="34.5" customHeight="1" thickBot="1">
      <c r="A11" s="7" t="s">
        <v>39</v>
      </c>
      <c r="B11" s="54"/>
      <c r="C11" s="8"/>
      <c r="D11" s="8"/>
      <c r="E11" s="8"/>
      <c r="F11" s="41"/>
      <c r="G11" s="93" t="s">
        <v>31</v>
      </c>
      <c r="H11" s="94">
        <f>D36+D37</f>
        <v>468400.50399999996</v>
      </c>
    </row>
    <row r="12" spans="1:8" ht="17.25" customHeight="1" thickBot="1">
      <c r="A12" s="7" t="s">
        <v>24</v>
      </c>
      <c r="B12" s="67" t="s">
        <v>2</v>
      </c>
      <c r="C12" s="8"/>
      <c r="D12" s="8"/>
      <c r="E12" s="8"/>
      <c r="F12" s="41"/>
      <c r="G12" s="93" t="s">
        <v>34</v>
      </c>
      <c r="H12" s="95">
        <f>D34+D35</f>
        <v>2883877.2336000004</v>
      </c>
    </row>
    <row r="13" spans="1:8" ht="15" customHeight="1" thickBot="1">
      <c r="A13" s="7" t="s">
        <v>25</v>
      </c>
      <c r="B13" s="64">
        <v>2769120.92</v>
      </c>
      <c r="C13" s="8"/>
      <c r="D13" s="8"/>
      <c r="E13" s="8"/>
      <c r="F13" s="41"/>
      <c r="G13" s="8"/>
      <c r="H13" s="92">
        <f>SUM(H10:H12)</f>
        <v>3722719.2376000006</v>
      </c>
    </row>
    <row r="14" spans="1:8" ht="15">
      <c r="A14" s="7" t="s">
        <v>26</v>
      </c>
      <c r="B14" s="34">
        <v>258464.43</v>
      </c>
      <c r="C14" s="8"/>
      <c r="D14" s="8"/>
      <c r="E14" s="8"/>
      <c r="F14" s="41"/>
      <c r="G14" s="8"/>
      <c r="H14" s="41"/>
    </row>
    <row r="15" spans="1:9" ht="15">
      <c r="A15" s="7" t="s">
        <v>27</v>
      </c>
      <c r="B15" s="49">
        <v>73683.08</v>
      </c>
      <c r="C15" s="41"/>
      <c r="D15" s="41"/>
      <c r="E15" s="41"/>
      <c r="F15" s="41"/>
      <c r="G15" s="45"/>
      <c r="H15" s="41"/>
      <c r="I15" s="30"/>
    </row>
    <row r="16" spans="1:9" ht="15.75" thickBot="1">
      <c r="A16" s="7" t="s">
        <v>28</v>
      </c>
      <c r="B16" s="50">
        <v>87004.01</v>
      </c>
      <c r="C16" s="41"/>
      <c r="D16" s="41"/>
      <c r="E16" s="41"/>
      <c r="F16" s="41"/>
      <c r="G16" s="41"/>
      <c r="H16" s="41"/>
      <c r="I16" s="30"/>
    </row>
    <row r="17" spans="1:9" ht="17.25" customHeight="1" thickBot="1">
      <c r="A17" s="48" t="s">
        <v>0</v>
      </c>
      <c r="B17" s="65">
        <f>SUM(B13:B16)</f>
        <v>3188272.44</v>
      </c>
      <c r="C17" s="41"/>
      <c r="D17" s="41"/>
      <c r="E17" s="41"/>
      <c r="F17" s="41"/>
      <c r="G17" s="41"/>
      <c r="H17" s="41"/>
      <c r="I17" s="30"/>
    </row>
    <row r="18" spans="1:9" ht="17.25" customHeight="1" thickBot="1">
      <c r="A18" s="7"/>
      <c r="B18" s="41"/>
      <c r="C18" s="41"/>
      <c r="D18" s="41"/>
      <c r="E18" s="41"/>
      <c r="F18" s="41"/>
      <c r="G18" s="41"/>
      <c r="H18" s="41"/>
      <c r="I18" s="30"/>
    </row>
    <row r="19" spans="1:9" ht="15.75" thickBot="1">
      <c r="A19" s="103" t="s">
        <v>38</v>
      </c>
      <c r="B19" s="104"/>
      <c r="C19" s="104"/>
      <c r="D19" s="104"/>
      <c r="E19" s="105"/>
      <c r="F19" s="41"/>
      <c r="G19" s="45"/>
      <c r="H19" s="41"/>
      <c r="I19" s="30"/>
    </row>
    <row r="20" spans="1:9" ht="15.75" thickBot="1">
      <c r="A20" s="106" t="s">
        <v>16</v>
      </c>
      <c r="B20" s="108" t="s">
        <v>3</v>
      </c>
      <c r="C20" s="110" t="s">
        <v>44</v>
      </c>
      <c r="D20" s="27" t="s">
        <v>11</v>
      </c>
      <c r="E20" s="91" t="s">
        <v>12</v>
      </c>
      <c r="F20" s="68"/>
      <c r="G20" s="41"/>
      <c r="H20" s="41"/>
      <c r="I20" s="30"/>
    </row>
    <row r="21" spans="1:9" ht="15.75" thickBot="1">
      <c r="A21" s="107"/>
      <c r="B21" s="109"/>
      <c r="C21" s="111"/>
      <c r="D21" s="46" t="s">
        <v>2</v>
      </c>
      <c r="E21" s="47" t="s">
        <v>2</v>
      </c>
      <c r="F21" s="69"/>
      <c r="G21" s="41"/>
      <c r="H21" s="41"/>
      <c r="I21" s="30"/>
    </row>
    <row r="22" spans="1:9" ht="15">
      <c r="A22" s="11" t="s">
        <v>5</v>
      </c>
      <c r="B22" s="28">
        <v>16485</v>
      </c>
      <c r="C22" s="29">
        <v>147.97</v>
      </c>
      <c r="D22" s="12">
        <f>C22*B22</f>
        <v>2439285.45</v>
      </c>
      <c r="E22" s="12"/>
      <c r="F22" s="41"/>
      <c r="G22" s="41"/>
      <c r="H22" s="41"/>
      <c r="I22" s="30"/>
    </row>
    <row r="23" spans="1:9" ht="15">
      <c r="A23" s="9" t="s">
        <v>6</v>
      </c>
      <c r="B23" s="17">
        <f>1413+2590.5</f>
        <v>4003.5</v>
      </c>
      <c r="C23" s="18">
        <f>40*1.1</f>
        <v>44</v>
      </c>
      <c r="D23" s="9">
        <f>C23*B23</f>
        <v>176154</v>
      </c>
      <c r="E23" s="9"/>
      <c r="F23" s="41"/>
      <c r="G23" s="41"/>
      <c r="H23" s="41"/>
      <c r="I23" s="30"/>
    </row>
    <row r="24" spans="1:9" ht="15">
      <c r="A24" s="9" t="s">
        <v>7</v>
      </c>
      <c r="B24" s="17">
        <f>B23*0.2</f>
        <v>800.7</v>
      </c>
      <c r="C24" s="18">
        <f>180*1.1</f>
        <v>198.00000000000003</v>
      </c>
      <c r="D24" s="9">
        <f>C24*B24</f>
        <v>158538.60000000003</v>
      </c>
      <c r="E24" s="9"/>
      <c r="F24" s="41"/>
      <c r="G24" s="41"/>
      <c r="H24" s="41"/>
      <c r="I24" s="30"/>
    </row>
    <row r="25" spans="1:9" ht="15">
      <c r="A25" s="9" t="s">
        <v>46</v>
      </c>
      <c r="B25" s="17">
        <f>B23*0.65</f>
        <v>2602.275</v>
      </c>
      <c r="C25" s="18">
        <f>205.46*1.1</f>
        <v>226.00600000000003</v>
      </c>
      <c r="D25" s="9"/>
      <c r="E25" s="9">
        <f aca="true" t="shared" si="0" ref="E25:E30">C25*B25</f>
        <v>588129.7636500001</v>
      </c>
      <c r="F25" s="41"/>
      <c r="G25" s="41"/>
      <c r="H25" s="41"/>
      <c r="I25" s="30"/>
    </row>
    <row r="26" spans="1:8" ht="15">
      <c r="A26" s="9" t="s">
        <v>9</v>
      </c>
      <c r="B26" s="17">
        <f>B23*0.05</f>
        <v>200.175</v>
      </c>
      <c r="C26" s="18">
        <f>36.14*1.1</f>
        <v>39.754000000000005</v>
      </c>
      <c r="D26" s="9"/>
      <c r="E26" s="9">
        <f t="shared" si="0"/>
        <v>7957.756950000002</v>
      </c>
      <c r="F26" s="41"/>
      <c r="G26" s="41"/>
      <c r="H26" s="41"/>
    </row>
    <row r="27" spans="1:8" ht="15">
      <c r="A27" s="9" t="s">
        <v>8</v>
      </c>
      <c r="B27" s="17">
        <f>B23*0.015</f>
        <v>60.052499999999995</v>
      </c>
      <c r="C27" s="18">
        <f>443.47*1.1</f>
        <v>487.81700000000006</v>
      </c>
      <c r="D27" s="9"/>
      <c r="E27" s="9">
        <f t="shared" si="0"/>
        <v>29294.630392500003</v>
      </c>
      <c r="F27" s="41"/>
      <c r="G27" s="43"/>
      <c r="H27" s="43"/>
    </row>
    <row r="28" spans="1:6" ht="15">
      <c r="A28" s="9" t="s">
        <v>43</v>
      </c>
      <c r="B28" s="17">
        <f>B23*0.085</f>
        <v>340.2975</v>
      </c>
      <c r="C28" s="18">
        <f>73.5*1.1</f>
        <v>80.85000000000001</v>
      </c>
      <c r="D28" s="9"/>
      <c r="E28" s="9">
        <f t="shared" si="0"/>
        <v>27513.052875000005</v>
      </c>
      <c r="F28" s="41"/>
    </row>
    <row r="29" spans="1:6" ht="15">
      <c r="A29" s="83" t="s">
        <v>47</v>
      </c>
      <c r="B29" s="17">
        <v>2590.5</v>
      </c>
      <c r="C29" s="18">
        <f>94.95*1.1</f>
        <v>104.44500000000001</v>
      </c>
      <c r="D29" s="9"/>
      <c r="E29" s="9">
        <f t="shared" si="0"/>
        <v>270564.7725</v>
      </c>
      <c r="F29" s="41"/>
    </row>
    <row r="30" spans="1:6" ht="15">
      <c r="A30" s="84" t="s">
        <v>4</v>
      </c>
      <c r="B30" s="85">
        <v>2449.2</v>
      </c>
      <c r="C30" s="86">
        <f>94.95*1.1</f>
        <v>104.44500000000001</v>
      </c>
      <c r="D30" s="87"/>
      <c r="E30" s="87">
        <f t="shared" si="0"/>
        <v>255806.694</v>
      </c>
      <c r="F30" s="41"/>
    </row>
    <row r="31" spans="1:6" ht="15">
      <c r="A31" s="10" t="s">
        <v>41</v>
      </c>
      <c r="B31" s="19">
        <v>3249.9</v>
      </c>
      <c r="C31" s="20">
        <f>10*1.1</f>
        <v>11</v>
      </c>
      <c r="D31" s="10">
        <f>C31*B31</f>
        <v>35748.9</v>
      </c>
      <c r="E31" s="10"/>
      <c r="F31" s="41"/>
    </row>
    <row r="32" spans="1:7" ht="15">
      <c r="A32" s="88" t="s">
        <v>42</v>
      </c>
      <c r="B32" s="19">
        <f>B31*0.9</f>
        <v>2924.9100000000003</v>
      </c>
      <c r="C32" s="20">
        <f>30*1.1</f>
        <v>33</v>
      </c>
      <c r="D32" s="10"/>
      <c r="E32" s="10">
        <f>B32*0.9*C32</f>
        <v>86869.827</v>
      </c>
      <c r="F32" s="41"/>
      <c r="G32" s="96"/>
    </row>
    <row r="33" spans="1:6" ht="15">
      <c r="A33" s="15" t="s">
        <v>13</v>
      </c>
      <c r="B33" s="21"/>
      <c r="C33" s="22">
        <v>0</v>
      </c>
      <c r="D33" s="15">
        <f>C33*B33</f>
        <v>0</v>
      </c>
      <c r="E33" s="15"/>
      <c r="F33" s="41"/>
    </row>
    <row r="34" spans="1:6" ht="15">
      <c r="A34" s="13" t="s">
        <v>10</v>
      </c>
      <c r="B34" s="23">
        <v>15072</v>
      </c>
      <c r="C34" s="24">
        <f>163.49*1.1</f>
        <v>179.83900000000003</v>
      </c>
      <c r="D34" s="13">
        <f>C34*B34</f>
        <v>2710533.4080000003</v>
      </c>
      <c r="E34" s="13"/>
      <c r="F34" s="72"/>
    </row>
    <row r="35" spans="1:6" ht="15">
      <c r="A35" s="14" t="s">
        <v>30</v>
      </c>
      <c r="B35" s="25">
        <v>2072.4</v>
      </c>
      <c r="C35" s="26">
        <f>76.04*1.1</f>
        <v>83.64400000000002</v>
      </c>
      <c r="D35" s="14">
        <f>C35*B35</f>
        <v>173343.82560000004</v>
      </c>
      <c r="E35" s="14"/>
      <c r="F35" s="72"/>
    </row>
    <row r="36" spans="1:6" ht="15">
      <c r="A36" s="36" t="s">
        <v>1</v>
      </c>
      <c r="B36" s="37">
        <f>1978.72*1.15</f>
        <v>2275.528</v>
      </c>
      <c r="C36" s="38">
        <f>130*1.1</f>
        <v>143</v>
      </c>
      <c r="D36" s="36">
        <f>B36*C36</f>
        <v>325400.50399999996</v>
      </c>
      <c r="E36" s="36"/>
      <c r="F36" s="41"/>
    </row>
    <row r="37" spans="1:6" ht="15.75" thickBot="1">
      <c r="A37" s="39" t="s">
        <v>14</v>
      </c>
      <c r="B37" s="89"/>
      <c r="C37" s="90" t="s">
        <v>15</v>
      </c>
      <c r="D37" s="39">
        <f>130000*1.1</f>
        <v>143000</v>
      </c>
      <c r="E37" s="40"/>
      <c r="F37" s="41"/>
    </row>
    <row r="38" spans="1:6" ht="15.75" thickBot="1">
      <c r="A38" s="8"/>
      <c r="B38" s="8"/>
      <c r="C38" s="8"/>
      <c r="D38" s="8"/>
      <c r="E38" s="74">
        <f>SUM(E23:E37)</f>
        <v>1266136.4973675</v>
      </c>
      <c r="F38" s="41"/>
    </row>
  </sheetData>
  <sheetProtection password="CC1A" sheet="1"/>
  <mergeCells count="6">
    <mergeCell ref="A1:H1"/>
    <mergeCell ref="G3:H3"/>
    <mergeCell ref="A19:E19"/>
    <mergeCell ref="A20:A21"/>
    <mergeCell ref="B20:B21"/>
    <mergeCell ref="C20:C21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2013-05-20T10:28:46Z</cp:lastPrinted>
  <dcterms:created xsi:type="dcterms:W3CDTF">2006-09-25T09:17:32Z</dcterms:created>
  <dcterms:modified xsi:type="dcterms:W3CDTF">2013-09-21T06:08:48Z</dcterms:modified>
  <cp:category/>
  <cp:version/>
  <cp:contentType/>
  <cp:contentStatus/>
</cp:coreProperties>
</file>